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Parámetros EPEQ y Med" sheetId="1" r:id="rId1"/>
  </sheets>
  <definedNames>
    <definedName name="_xlnm.Print_Area" localSheetId="0">'Parámetros EPEQ y Med'!$A$1:$G$75</definedName>
  </definedNames>
  <calcPr fullCalcOnLoad="1"/>
</workbook>
</file>

<file path=xl/sharedStrings.xml><?xml version="1.0" encoding="utf-8"?>
<sst xmlns="http://schemas.openxmlformats.org/spreadsheetml/2006/main" count="8" uniqueCount="8">
  <si>
    <t>Ente Pequeño
RT 41 - SEGUNDA PARTE</t>
  </si>
  <si>
    <t>Ente Mediano
RT 41 - TERCERA PARTE</t>
  </si>
  <si>
    <t>Parámetros para la categorización de los Entes como Pequeños y Medianos según RT 41</t>
  </si>
  <si>
    <t>Mes/Año del Parámetro</t>
  </si>
  <si>
    <t>PARÁMETRO                                                                       Monto Límite de Ingresos por Ventas Netas (o de Recursos Ordinarios, para Entes Sin Fines de Lucro)</t>
  </si>
  <si>
    <t>Para categorizar los Entes en Ejercicios Anuales (regulares) [*] cerrados al:</t>
  </si>
  <si>
    <t>[*] Para el caso de Ejercicios Irregulares debe tomarse el Parámetro del Mes/Año de cierre del ejercicio anterior.</t>
  </si>
  <si>
    <t xml:space="preserve"> - Según Res. CD N° 3737 -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</si>
</sst>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0.00000"/>
    <numFmt numFmtId="179" formatCode="0.0000"/>
    <numFmt numFmtId="180" formatCode="0.000"/>
    <numFmt numFmtId="181" formatCode="0.0"/>
    <numFmt numFmtId="182" formatCode="[$$-2C0A]\ #,##0.00"/>
    <numFmt numFmtId="183" formatCode="#,##0.0"/>
    <numFmt numFmtId="184" formatCode="mmm\-yyyy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3333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" fontId="0" fillId="33" borderId="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7" fontId="0" fillId="34" borderId="0" xfId="0" applyNumberFormat="1" applyFill="1" applyAlignment="1">
      <alignment/>
    </xf>
    <xf numFmtId="3" fontId="0" fillId="0" borderId="12" xfId="0" applyNumberFormat="1" applyBorder="1" applyAlignment="1">
      <alignment/>
    </xf>
    <xf numFmtId="3" fontId="0" fillId="19" borderId="13" xfId="0" applyNumberFormat="1" applyFill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3" fontId="0" fillId="0" borderId="14" xfId="0" applyNumberFormat="1" applyBorder="1" applyAlignment="1">
      <alignment/>
    </xf>
    <xf numFmtId="0" fontId="3" fillId="35" borderId="15" xfId="0" applyFont="1" applyFill="1" applyBorder="1" applyAlignment="1">
      <alignment horizontal="center" wrapText="1"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2" fontId="0" fillId="34" borderId="0" xfId="0" applyNumberFormat="1" applyFill="1" applyAlignment="1">
      <alignment/>
    </xf>
    <xf numFmtId="179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40" fillId="33" borderId="0" xfId="0" applyFont="1" applyFill="1" applyBorder="1" applyAlignment="1">
      <alignment/>
    </xf>
    <xf numFmtId="17" fontId="0" fillId="36" borderId="18" xfId="0" applyNumberFormat="1" applyFill="1" applyBorder="1" applyAlignment="1">
      <alignment/>
    </xf>
    <xf numFmtId="17" fontId="0" fillId="36" borderId="19" xfId="0" applyNumberFormat="1" applyFill="1" applyBorder="1" applyAlignment="1">
      <alignment/>
    </xf>
    <xf numFmtId="17" fontId="0" fillId="36" borderId="20" xfId="0" applyNumberFormat="1" applyFill="1" applyBorder="1" applyAlignment="1">
      <alignment/>
    </xf>
    <xf numFmtId="17" fontId="0" fillId="36" borderId="21" xfId="0" applyNumberFormat="1" applyFill="1" applyBorder="1" applyAlignment="1">
      <alignment/>
    </xf>
    <xf numFmtId="17" fontId="0" fillId="36" borderId="18" xfId="0" applyNumberFormat="1" applyFont="1" applyFill="1" applyBorder="1" applyAlignment="1">
      <alignment horizontal="center"/>
    </xf>
    <xf numFmtId="17" fontId="0" fillId="36" borderId="22" xfId="0" applyNumberFormat="1" applyFill="1" applyBorder="1" applyAlignment="1">
      <alignment/>
    </xf>
    <xf numFmtId="17" fontId="0" fillId="36" borderId="23" xfId="0" applyNumberFormat="1" applyFill="1" applyBorder="1" applyAlignment="1">
      <alignment/>
    </xf>
    <xf numFmtId="14" fontId="3" fillId="37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0" fillId="33" borderId="0" xfId="0" applyFill="1" applyBorder="1" applyAlignment="1">
      <alignment horizontal="justify"/>
    </xf>
    <xf numFmtId="17" fontId="3" fillId="38" borderId="24" xfId="0" applyNumberFormat="1" applyFont="1" applyFill="1" applyBorder="1" applyAlignment="1">
      <alignment horizontal="center" vertical="center" wrapText="1"/>
    </xf>
    <xf numFmtId="17" fontId="3" fillId="38" borderId="25" xfId="0" applyNumberFormat="1" applyFont="1" applyFill="1" applyBorder="1" applyAlignment="1">
      <alignment horizontal="center" vertical="center" wrapText="1"/>
    </xf>
    <xf numFmtId="17" fontId="3" fillId="38" borderId="21" xfId="0" applyNumberFormat="1" applyFont="1" applyFill="1" applyBorder="1" applyAlignment="1">
      <alignment horizontal="center" vertical="center" wrapText="1"/>
    </xf>
    <xf numFmtId="17" fontId="3" fillId="38" borderId="26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17" fontId="3" fillId="38" borderId="27" xfId="0" applyNumberFormat="1" applyFont="1" applyFill="1" applyBorder="1" applyAlignment="1">
      <alignment horizontal="center" vertical="center" wrapText="1"/>
    </xf>
    <xf numFmtId="17" fontId="3" fillId="38" borderId="28" xfId="0" applyNumberFormat="1" applyFont="1" applyFill="1" applyBorder="1" applyAlignment="1">
      <alignment horizontal="center" vertical="center" wrapText="1"/>
    </xf>
    <xf numFmtId="3" fontId="0" fillId="39" borderId="29" xfId="0" applyNumberFormat="1" applyFill="1" applyBorder="1" applyAlignment="1">
      <alignment horizontal="center"/>
    </xf>
    <xf numFmtId="3" fontId="0" fillId="39" borderId="30" xfId="0" applyNumberFormat="1" applyFill="1" applyBorder="1" applyAlignment="1">
      <alignment horizontal="center"/>
    </xf>
    <xf numFmtId="3" fontId="0" fillId="39" borderId="31" xfId="0" applyNumberForma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4" sqref="H4"/>
    </sheetView>
  </sheetViews>
  <sheetFormatPr defaultColWidth="11.421875" defaultRowHeight="12.75"/>
  <cols>
    <col min="1" max="1" width="13.7109375" style="6" customWidth="1"/>
    <col min="2" max="2" width="17.421875" style="6" customWidth="1"/>
    <col min="3" max="3" width="15.00390625" style="6" customWidth="1"/>
    <col min="4" max="4" width="4.28125" style="6" customWidth="1"/>
    <col min="5" max="6" width="25.140625" style="6" customWidth="1"/>
    <col min="7" max="7" width="22.57421875" style="6" customWidth="1"/>
    <col min="8" max="8" width="23.7109375" style="6" customWidth="1"/>
    <col min="9" max="11" width="11.421875" style="6" hidden="1" customWidth="1"/>
    <col min="12" max="15" width="0" style="6" hidden="1" customWidth="1"/>
    <col min="16" max="16384" width="11.421875" style="6" customWidth="1"/>
  </cols>
  <sheetData>
    <row r="1" spans="1:7" ht="15.75">
      <c r="A1" s="35" t="s">
        <v>2</v>
      </c>
      <c r="B1" s="35"/>
      <c r="C1" s="35"/>
      <c r="D1" s="35"/>
      <c r="E1" s="35"/>
      <c r="F1" s="35"/>
      <c r="G1" s="35"/>
    </row>
    <row r="2" spans="1:8" ht="12.75" customHeight="1">
      <c r="A2" s="3"/>
      <c r="B2" s="3"/>
      <c r="C2" s="2"/>
      <c r="D2" s="3"/>
      <c r="E2" s="20" t="s">
        <v>7</v>
      </c>
      <c r="F2" s="3"/>
      <c r="G2" s="3"/>
      <c r="H2" s="7"/>
    </row>
    <row r="3" spans="1:10" ht="13.5" thickBot="1">
      <c r="A3" s="3"/>
      <c r="B3" s="3"/>
      <c r="C3" s="3"/>
      <c r="D3" s="3"/>
      <c r="E3" s="4"/>
      <c r="F3" s="3"/>
      <c r="G3" s="3"/>
      <c r="H3" s="7"/>
      <c r="I3" s="8">
        <v>41974</v>
      </c>
      <c r="J3" s="6">
        <v>841.66</v>
      </c>
    </row>
    <row r="4" spans="1:9" ht="56.25" customHeight="1">
      <c r="A4" s="3"/>
      <c r="B4" s="41" t="s">
        <v>5</v>
      </c>
      <c r="C4" s="31" t="s">
        <v>3</v>
      </c>
      <c r="D4" s="32"/>
      <c r="E4" s="36" t="s">
        <v>4</v>
      </c>
      <c r="F4" s="37"/>
      <c r="G4" s="3"/>
      <c r="I4" s="8"/>
    </row>
    <row r="5" spans="1:7" ht="31.5" customHeight="1">
      <c r="A5" s="3"/>
      <c r="B5" s="42"/>
      <c r="C5" s="33"/>
      <c r="D5" s="34"/>
      <c r="E5" s="11" t="s">
        <v>0</v>
      </c>
      <c r="F5" s="13" t="s">
        <v>1</v>
      </c>
      <c r="G5" s="3"/>
    </row>
    <row r="6" spans="1:10" ht="12.75">
      <c r="A6" s="3"/>
      <c r="B6" s="28">
        <v>42004</v>
      </c>
      <c r="C6" s="21">
        <v>41609</v>
      </c>
      <c r="D6" s="21"/>
      <c r="E6" s="1">
        <f>15000000*J6</f>
        <v>11694211.43929853</v>
      </c>
      <c r="F6" s="38"/>
      <c r="G6" s="3"/>
      <c r="I6" s="6">
        <v>656.17</v>
      </c>
      <c r="J6" s="6">
        <f>+I6/$J$3</f>
        <v>0.7796140959532353</v>
      </c>
    </row>
    <row r="7" spans="1:10" ht="12.75">
      <c r="A7" s="3"/>
      <c r="B7" s="28">
        <v>42035</v>
      </c>
      <c r="C7" s="21">
        <v>41640</v>
      </c>
      <c r="D7" s="21"/>
      <c r="E7" s="1">
        <f aca="true" t="shared" si="0" ref="E7:E25">15000000*J7</f>
        <v>12273423.947912458</v>
      </c>
      <c r="F7" s="39"/>
      <c r="G7" s="3"/>
      <c r="I7" s="6">
        <v>688.67</v>
      </c>
      <c r="J7" s="6">
        <f aca="true" t="shared" si="1" ref="J7:J24">+I7/$J$3</f>
        <v>0.8182282631941639</v>
      </c>
    </row>
    <row r="8" spans="1:10" ht="12.75">
      <c r="A8" s="3"/>
      <c r="B8" s="28">
        <v>42063</v>
      </c>
      <c r="C8" s="21">
        <v>41671</v>
      </c>
      <c r="D8" s="21"/>
      <c r="E8" s="1">
        <f t="shared" si="0"/>
        <v>12902003.184183639</v>
      </c>
      <c r="F8" s="39"/>
      <c r="G8" s="3"/>
      <c r="I8" s="6">
        <v>723.94</v>
      </c>
      <c r="J8" s="6">
        <f t="shared" si="1"/>
        <v>0.8601335456122425</v>
      </c>
    </row>
    <row r="9" spans="1:10" ht="12.75">
      <c r="A9" s="3"/>
      <c r="B9" s="28">
        <v>42094</v>
      </c>
      <c r="C9" s="21">
        <v>41699</v>
      </c>
      <c r="D9" s="21"/>
      <c r="E9" s="1">
        <f t="shared" si="0"/>
        <v>13216025.473469095</v>
      </c>
      <c r="F9" s="39"/>
      <c r="G9" s="3"/>
      <c r="I9" s="6">
        <v>741.56</v>
      </c>
      <c r="J9" s="6">
        <f t="shared" si="1"/>
        <v>0.8810683648979397</v>
      </c>
    </row>
    <row r="10" spans="1:10" ht="12.75">
      <c r="A10" s="3"/>
      <c r="B10" s="28">
        <v>42124</v>
      </c>
      <c r="C10" s="21">
        <v>41730</v>
      </c>
      <c r="D10" s="21"/>
      <c r="E10" s="1">
        <f t="shared" si="0"/>
        <v>13443254.996079177</v>
      </c>
      <c r="F10" s="39"/>
      <c r="G10" s="3"/>
      <c r="I10" s="6">
        <v>754.31</v>
      </c>
      <c r="J10" s="6">
        <f t="shared" si="1"/>
        <v>0.8962169997386118</v>
      </c>
    </row>
    <row r="11" spans="1:10" ht="12.75">
      <c r="A11" s="3"/>
      <c r="B11" s="28">
        <v>42155</v>
      </c>
      <c r="C11" s="21">
        <v>41760</v>
      </c>
      <c r="D11" s="21"/>
      <c r="E11" s="1">
        <f t="shared" si="0"/>
        <v>13694365.895967493</v>
      </c>
      <c r="F11" s="39"/>
      <c r="G11" s="3"/>
      <c r="I11" s="6">
        <v>768.4</v>
      </c>
      <c r="J11" s="6">
        <f t="shared" si="1"/>
        <v>0.9129577263978329</v>
      </c>
    </row>
    <row r="12" spans="1:10" ht="12.75">
      <c r="A12" s="3"/>
      <c r="B12" s="28">
        <v>42185</v>
      </c>
      <c r="C12" s="21">
        <v>41791</v>
      </c>
      <c r="D12" s="21"/>
      <c r="E12" s="1">
        <f t="shared" si="0"/>
        <v>13900565.549034053</v>
      </c>
      <c r="F12" s="39"/>
      <c r="G12" s="3"/>
      <c r="I12" s="6">
        <v>779.97</v>
      </c>
      <c r="J12" s="6">
        <f t="shared" si="1"/>
        <v>0.9267043699356036</v>
      </c>
    </row>
    <row r="13" spans="1:10" ht="12.75">
      <c r="A13" s="3"/>
      <c r="B13" s="28">
        <v>42216</v>
      </c>
      <c r="C13" s="21">
        <v>41821</v>
      </c>
      <c r="D13" s="21"/>
      <c r="E13" s="1">
        <f t="shared" si="0"/>
        <v>14087695.744124707</v>
      </c>
      <c r="F13" s="39"/>
      <c r="G13" s="3"/>
      <c r="I13" s="6">
        <v>790.47</v>
      </c>
      <c r="J13" s="6">
        <f t="shared" si="1"/>
        <v>0.9391797162749804</v>
      </c>
    </row>
    <row r="14" spans="1:10" ht="12.75">
      <c r="A14" s="3"/>
      <c r="B14" s="28">
        <v>42247</v>
      </c>
      <c r="C14" s="21">
        <v>41852</v>
      </c>
      <c r="D14" s="21"/>
      <c r="E14" s="1">
        <f t="shared" si="0"/>
        <v>14317598.555236083</v>
      </c>
      <c r="F14" s="39"/>
      <c r="G14" s="3"/>
      <c r="I14" s="6">
        <v>803.37</v>
      </c>
      <c r="J14" s="6">
        <f t="shared" si="1"/>
        <v>0.9545065703490722</v>
      </c>
    </row>
    <row r="15" spans="1:10" ht="12.75">
      <c r="A15" s="3"/>
      <c r="B15" s="28">
        <v>42277</v>
      </c>
      <c r="C15" s="21">
        <v>41883</v>
      </c>
      <c r="D15" s="21"/>
      <c r="E15" s="1">
        <f t="shared" si="0"/>
        <v>14545897.393246679</v>
      </c>
      <c r="F15" s="39"/>
      <c r="G15" s="3"/>
      <c r="I15" s="6">
        <v>816.18</v>
      </c>
      <c r="J15" s="6">
        <f t="shared" si="1"/>
        <v>0.969726492883112</v>
      </c>
    </row>
    <row r="16" spans="1:10" ht="12.75">
      <c r="A16" s="3"/>
      <c r="B16" s="28">
        <v>42308</v>
      </c>
      <c r="C16" s="21">
        <v>41913</v>
      </c>
      <c r="D16" s="21"/>
      <c r="E16" s="1">
        <f t="shared" si="0"/>
        <v>14724116.62666635</v>
      </c>
      <c r="F16" s="39"/>
      <c r="G16" s="3"/>
      <c r="I16" s="6">
        <v>826.18</v>
      </c>
      <c r="J16" s="6">
        <f t="shared" si="1"/>
        <v>0.98160777511109</v>
      </c>
    </row>
    <row r="17" spans="1:10" ht="13.5" thickBot="1">
      <c r="A17" s="3"/>
      <c r="B17" s="28">
        <v>42338</v>
      </c>
      <c r="C17" s="22">
        <v>41944</v>
      </c>
      <c r="D17" s="22"/>
      <c r="E17" s="5">
        <f t="shared" si="0"/>
        <v>14858493.928664783</v>
      </c>
      <c r="F17" s="40"/>
      <c r="G17" s="3"/>
      <c r="I17" s="6">
        <v>833.72</v>
      </c>
      <c r="J17" s="6">
        <f t="shared" si="1"/>
        <v>0.9905662619109855</v>
      </c>
    </row>
    <row r="18" spans="1:10" ht="13.5" thickBot="1">
      <c r="A18" s="3"/>
      <c r="B18" s="28">
        <v>42369</v>
      </c>
      <c r="C18" s="23">
        <v>41974</v>
      </c>
      <c r="D18" s="23"/>
      <c r="E18" s="10">
        <f t="shared" si="0"/>
        <v>15000000</v>
      </c>
      <c r="F18" s="10">
        <v>75000000</v>
      </c>
      <c r="G18" s="3"/>
      <c r="I18" s="6">
        <v>841.66</v>
      </c>
      <c r="J18" s="6">
        <f t="shared" si="1"/>
        <v>1</v>
      </c>
    </row>
    <row r="19" spans="1:10" ht="12.75">
      <c r="A19" s="3"/>
      <c r="B19" s="28">
        <v>42400</v>
      </c>
      <c r="C19" s="24">
        <v>42005</v>
      </c>
      <c r="D19" s="24"/>
      <c r="E19" s="9">
        <f t="shared" si="0"/>
        <v>15030119.050447926</v>
      </c>
      <c r="F19" s="14">
        <f aca="true" t="shared" si="2" ref="F19:F28">75000000*J19</f>
        <v>75150595.25223963</v>
      </c>
      <c r="G19" s="3"/>
      <c r="I19" s="6">
        <v>843.35</v>
      </c>
      <c r="J19" s="6">
        <f t="shared" si="1"/>
        <v>1.0020079366965284</v>
      </c>
    </row>
    <row r="20" spans="1:10" ht="12.75">
      <c r="A20" s="3"/>
      <c r="B20" s="28">
        <v>42429</v>
      </c>
      <c r="C20" s="21">
        <v>42036</v>
      </c>
      <c r="D20" s="21"/>
      <c r="E20" s="1">
        <f t="shared" si="0"/>
        <v>15067545.089466056</v>
      </c>
      <c r="F20" s="15">
        <f t="shared" si="2"/>
        <v>75337725.44733028</v>
      </c>
      <c r="G20" s="3"/>
      <c r="I20" s="6">
        <v>845.45</v>
      </c>
      <c r="J20" s="6">
        <f t="shared" si="1"/>
        <v>1.0045030059644038</v>
      </c>
    </row>
    <row r="21" spans="1:10" ht="12.75">
      <c r="A21" s="3"/>
      <c r="B21" s="28">
        <v>42460</v>
      </c>
      <c r="C21" s="21">
        <v>42064</v>
      </c>
      <c r="D21" s="21"/>
      <c r="E21" s="1">
        <f t="shared" si="0"/>
        <v>15215288.833970964</v>
      </c>
      <c r="F21" s="15">
        <f t="shared" si="2"/>
        <v>76076444.16985482</v>
      </c>
      <c r="G21" s="3"/>
      <c r="I21" s="6">
        <v>853.74</v>
      </c>
      <c r="J21" s="6">
        <f t="shared" si="1"/>
        <v>1.0143525889313976</v>
      </c>
    </row>
    <row r="22" spans="1:10" ht="12.75">
      <c r="A22" s="3"/>
      <c r="B22" s="28">
        <v>42490</v>
      </c>
      <c r="C22" s="21">
        <v>42095</v>
      </c>
      <c r="D22" s="21"/>
      <c r="E22" s="1">
        <f t="shared" si="0"/>
        <v>15328636.266425874</v>
      </c>
      <c r="F22" s="15">
        <f t="shared" si="2"/>
        <v>76643181.33212937</v>
      </c>
      <c r="G22" s="3"/>
      <c r="I22" s="6">
        <v>860.1</v>
      </c>
      <c r="J22" s="6">
        <f t="shared" si="1"/>
        <v>1.0219090844283916</v>
      </c>
    </row>
    <row r="23" spans="1:10" ht="12.75">
      <c r="A23" s="3"/>
      <c r="B23" s="28">
        <v>42521</v>
      </c>
      <c r="C23" s="21">
        <v>42125</v>
      </c>
      <c r="D23" s="21"/>
      <c r="E23" s="1">
        <f t="shared" si="0"/>
        <v>15555865.789035954</v>
      </c>
      <c r="F23" s="15">
        <f t="shared" si="2"/>
        <v>77779328.94517976</v>
      </c>
      <c r="G23" s="3"/>
      <c r="I23" s="6">
        <v>872.85</v>
      </c>
      <c r="J23" s="6">
        <f t="shared" si="1"/>
        <v>1.0370577192690635</v>
      </c>
    </row>
    <row r="24" spans="1:10" ht="12.75">
      <c r="A24" s="3"/>
      <c r="B24" s="28">
        <v>42551</v>
      </c>
      <c r="C24" s="21">
        <v>42156</v>
      </c>
      <c r="D24" s="21"/>
      <c r="E24" s="1">
        <f t="shared" si="0"/>
        <v>15760461.469001738</v>
      </c>
      <c r="F24" s="15">
        <f t="shared" si="2"/>
        <v>78802307.34500869</v>
      </c>
      <c r="G24" s="3"/>
      <c r="I24" s="6">
        <v>884.33</v>
      </c>
      <c r="J24" s="6">
        <f t="shared" si="1"/>
        <v>1.0506974312667825</v>
      </c>
    </row>
    <row r="25" spans="1:10" ht="12.75">
      <c r="A25" s="3"/>
      <c r="B25" s="28">
        <v>42582</v>
      </c>
      <c r="C25" s="21">
        <v>42186</v>
      </c>
      <c r="D25" s="21"/>
      <c r="E25" s="1">
        <f t="shared" si="0"/>
        <v>15986978.114678137</v>
      </c>
      <c r="F25" s="15">
        <f t="shared" si="2"/>
        <v>79934890.57339068</v>
      </c>
      <c r="G25" s="3"/>
      <c r="I25" s="6">
        <v>897.04</v>
      </c>
      <c r="J25" s="6">
        <f aca="true" t="shared" si="3" ref="J25:J35">+I25/$J$3</f>
        <v>1.0657985409785424</v>
      </c>
    </row>
    <row r="26" spans="1:10" ht="12.75">
      <c r="A26" s="3"/>
      <c r="B26" s="28">
        <v>42613</v>
      </c>
      <c r="C26" s="21">
        <v>42217</v>
      </c>
      <c r="D26" s="21"/>
      <c r="E26" s="1">
        <f>15000000*J26</f>
        <v>16215276.952688735</v>
      </c>
      <c r="F26" s="15">
        <f t="shared" si="2"/>
        <v>81076384.76344368</v>
      </c>
      <c r="G26" s="3"/>
      <c r="I26" s="6">
        <v>909.85</v>
      </c>
      <c r="J26" s="6">
        <f t="shared" si="3"/>
        <v>1.0810184635125824</v>
      </c>
    </row>
    <row r="27" spans="1:10" ht="12.75">
      <c r="A27" s="3"/>
      <c r="B27" s="28">
        <v>42643</v>
      </c>
      <c r="C27" s="21">
        <v>42248</v>
      </c>
      <c r="D27" s="21"/>
      <c r="E27" s="1">
        <f>15000000*J27</f>
        <v>16434308.39056151</v>
      </c>
      <c r="F27" s="15">
        <f t="shared" si="2"/>
        <v>82171541.95280755</v>
      </c>
      <c r="G27" s="3"/>
      <c r="I27" s="6">
        <v>922.14</v>
      </c>
      <c r="J27" s="6">
        <f t="shared" si="3"/>
        <v>1.0956205593707673</v>
      </c>
    </row>
    <row r="28" spans="1:10" ht="12.75">
      <c r="A28" s="3"/>
      <c r="B28" s="28">
        <v>42674</v>
      </c>
      <c r="C28" s="21">
        <v>42278</v>
      </c>
      <c r="D28" s="21"/>
      <c r="E28" s="1">
        <f>15000000*J28</f>
        <v>16586685.835135328</v>
      </c>
      <c r="F28" s="15">
        <f t="shared" si="2"/>
        <v>82933429.17567664</v>
      </c>
      <c r="G28" s="3"/>
      <c r="I28" s="6">
        <v>930.69</v>
      </c>
      <c r="J28" s="6">
        <f t="shared" si="3"/>
        <v>1.1057790556756886</v>
      </c>
    </row>
    <row r="29" spans="1:10" ht="12.75">
      <c r="A29" s="3"/>
      <c r="B29" s="28">
        <v>42704</v>
      </c>
      <c r="C29" s="21">
        <v>42309</v>
      </c>
      <c r="D29" s="25"/>
      <c r="E29" s="1">
        <f aca="true" t="shared" si="4" ref="E29:E36">15000000*J29</f>
        <v>16586685.835135328</v>
      </c>
      <c r="F29" s="15">
        <f aca="true" t="shared" si="5" ref="F29:F36">75000000*J29</f>
        <v>82933429.17567664</v>
      </c>
      <c r="G29" s="3"/>
      <c r="I29" s="6">
        <v>930.69</v>
      </c>
      <c r="J29" s="6">
        <f t="shared" si="3"/>
        <v>1.1057790556756886</v>
      </c>
    </row>
    <row r="30" spans="1:10" ht="12.75">
      <c r="A30" s="3"/>
      <c r="B30" s="28">
        <v>42735</v>
      </c>
      <c r="C30" s="21">
        <v>42339</v>
      </c>
      <c r="D30" s="25"/>
      <c r="E30" s="1">
        <f t="shared" si="4"/>
        <v>16586685.835135328</v>
      </c>
      <c r="F30" s="15">
        <f t="shared" si="5"/>
        <v>82933429.17567664</v>
      </c>
      <c r="G30" s="3"/>
      <c r="I30" s="6">
        <v>930.69</v>
      </c>
      <c r="J30" s="6">
        <f t="shared" si="3"/>
        <v>1.1057790556756886</v>
      </c>
    </row>
    <row r="31" spans="1:10" ht="12.75">
      <c r="A31" s="3"/>
      <c r="B31" s="28">
        <v>42766</v>
      </c>
      <c r="C31" s="21">
        <v>42370</v>
      </c>
      <c r="D31" s="21"/>
      <c r="E31" s="1">
        <f t="shared" si="4"/>
        <v>18079487.560297508</v>
      </c>
      <c r="F31" s="15">
        <f t="shared" si="5"/>
        <v>90397437.80148755</v>
      </c>
      <c r="G31" s="3"/>
      <c r="I31" s="17">
        <f>+I30*1.09</f>
        <v>1014.4521000000001</v>
      </c>
      <c r="J31" s="6">
        <f t="shared" si="3"/>
        <v>1.2052991706865006</v>
      </c>
    </row>
    <row r="32" spans="1:10" ht="12.75">
      <c r="A32" s="3"/>
      <c r="B32" s="28">
        <v>42794</v>
      </c>
      <c r="C32" s="21">
        <v>42401</v>
      </c>
      <c r="D32" s="21"/>
      <c r="E32" s="1">
        <f t="shared" si="4"/>
        <v>18983461.938312385</v>
      </c>
      <c r="F32" s="15">
        <f t="shared" si="5"/>
        <v>94917309.69156192</v>
      </c>
      <c r="G32" s="3"/>
      <c r="I32" s="17">
        <f>+I31*1.05</f>
        <v>1065.1747050000001</v>
      </c>
      <c r="J32" s="6">
        <f t="shared" si="3"/>
        <v>1.2655641292208257</v>
      </c>
    </row>
    <row r="33" spans="1:10" ht="12.75">
      <c r="A33" s="3"/>
      <c r="B33" s="28">
        <v>42825</v>
      </c>
      <c r="C33" s="21">
        <v>42430</v>
      </c>
      <c r="D33" s="21"/>
      <c r="E33" s="1">
        <f t="shared" si="4"/>
        <v>19439065.024831884</v>
      </c>
      <c r="F33" s="15">
        <f t="shared" si="5"/>
        <v>97195325.12415941</v>
      </c>
      <c r="G33" s="3"/>
      <c r="I33" s="17">
        <f>+I32*1.024</f>
        <v>1090.7388979200002</v>
      </c>
      <c r="J33" s="6">
        <f t="shared" si="3"/>
        <v>1.2959376683221255</v>
      </c>
    </row>
    <row r="34" spans="1:10" ht="12.75">
      <c r="A34" s="3"/>
      <c r="B34" s="28">
        <v>42855</v>
      </c>
      <c r="C34" s="21">
        <v>42461</v>
      </c>
      <c r="D34" s="21"/>
      <c r="E34" s="1">
        <f t="shared" si="4"/>
        <v>19730651.000204362</v>
      </c>
      <c r="F34" s="15">
        <f t="shared" si="5"/>
        <v>98653255.00102182</v>
      </c>
      <c r="G34" s="3"/>
      <c r="I34" s="17">
        <f>+I33*1.015</f>
        <v>1107.0999813888002</v>
      </c>
      <c r="J34" s="6">
        <f t="shared" si="3"/>
        <v>1.3153767333469575</v>
      </c>
    </row>
    <row r="35" spans="1:10" ht="12.75">
      <c r="A35" s="3"/>
      <c r="B35" s="28">
        <v>42886</v>
      </c>
      <c r="C35" s="21">
        <v>42491</v>
      </c>
      <c r="D35" s="21"/>
      <c r="E35" s="1">
        <f t="shared" si="4"/>
        <v>20440954.43621172</v>
      </c>
      <c r="F35" s="15">
        <f t="shared" si="5"/>
        <v>102204772.1810586</v>
      </c>
      <c r="G35" s="3"/>
      <c r="I35" s="17">
        <f>+I34*1.036</f>
        <v>1146.9555807187971</v>
      </c>
      <c r="J35" s="6">
        <f t="shared" si="3"/>
        <v>1.362730295747448</v>
      </c>
    </row>
    <row r="36" spans="1:10" ht="12.75">
      <c r="A36" s="3"/>
      <c r="B36" s="28">
        <v>42916</v>
      </c>
      <c r="C36" s="21">
        <v>42522</v>
      </c>
      <c r="D36" s="21"/>
      <c r="E36" s="1">
        <f t="shared" si="4"/>
        <v>21033742.11486186</v>
      </c>
      <c r="F36" s="15">
        <f t="shared" si="5"/>
        <v>105168710.5743093</v>
      </c>
      <c r="G36" s="3"/>
      <c r="I36" s="17">
        <f>+I35*1.029</f>
        <v>1180.2172925596421</v>
      </c>
      <c r="J36" s="6">
        <f aca="true" t="shared" si="6" ref="J36:J41">+I36/$J$3</f>
        <v>1.402249474324124</v>
      </c>
    </row>
    <row r="37" spans="1:10" ht="12.75">
      <c r="A37" s="3"/>
      <c r="B37" s="28">
        <v>42947</v>
      </c>
      <c r="C37" s="21">
        <v>42552</v>
      </c>
      <c r="D37" s="21"/>
      <c r="E37" s="1">
        <f aca="true" t="shared" si="7" ref="E37:E42">15000000*J37</f>
        <v>21601653.151963126</v>
      </c>
      <c r="F37" s="15">
        <f aca="true" t="shared" si="8" ref="F37:F42">75000000*J37</f>
        <v>108008265.75981563</v>
      </c>
      <c r="G37" s="3"/>
      <c r="I37" s="17">
        <f>+I36*1.027</f>
        <v>1212.0831594587523</v>
      </c>
      <c r="J37" s="6">
        <f t="shared" si="6"/>
        <v>1.4401102101308751</v>
      </c>
    </row>
    <row r="38" spans="1:10" ht="12.75">
      <c r="A38" s="3"/>
      <c r="B38" s="28">
        <v>42978</v>
      </c>
      <c r="C38" s="21">
        <v>42583</v>
      </c>
      <c r="D38" s="21"/>
      <c r="E38" s="1">
        <f t="shared" si="7"/>
        <v>21688059.76457098</v>
      </c>
      <c r="F38" s="15">
        <f t="shared" si="8"/>
        <v>108440298.8228549</v>
      </c>
      <c r="G38" s="3"/>
      <c r="I38" s="17">
        <f>+I37*1.004</f>
        <v>1216.9314920965874</v>
      </c>
      <c r="J38" s="6">
        <f t="shared" si="6"/>
        <v>1.4458706509713988</v>
      </c>
    </row>
    <row r="39" spans="1:10" ht="12.75">
      <c r="A39" s="3"/>
      <c r="B39" s="28">
        <v>43008</v>
      </c>
      <c r="C39" s="21">
        <v>42614</v>
      </c>
      <c r="D39" s="21"/>
      <c r="E39" s="1">
        <f t="shared" si="7"/>
        <v>21774812.003629267</v>
      </c>
      <c r="F39" s="15">
        <f t="shared" si="8"/>
        <v>108874060.01814634</v>
      </c>
      <c r="G39" s="3"/>
      <c r="I39" s="17">
        <f>+I38*1.004</f>
        <v>1221.7992180649737</v>
      </c>
      <c r="J39" s="6">
        <f t="shared" si="6"/>
        <v>1.4516541335752844</v>
      </c>
    </row>
    <row r="40" spans="1:10" ht="12.75">
      <c r="A40" s="3"/>
      <c r="B40" s="28">
        <v>43039</v>
      </c>
      <c r="C40" s="21">
        <v>42644</v>
      </c>
      <c r="D40" s="21"/>
      <c r="E40" s="1">
        <f t="shared" si="7"/>
        <v>21905460.875651043</v>
      </c>
      <c r="F40" s="15">
        <f t="shared" si="8"/>
        <v>109527304.3782552</v>
      </c>
      <c r="G40" s="3"/>
      <c r="I40" s="17">
        <f>+I39*1.006</f>
        <v>1229.1300133733637</v>
      </c>
      <c r="J40" s="6">
        <f t="shared" si="6"/>
        <v>1.460364058376736</v>
      </c>
    </row>
    <row r="41" spans="1:10" ht="12.75">
      <c r="A41" s="3"/>
      <c r="B41" s="28">
        <v>43069</v>
      </c>
      <c r="C41" s="21">
        <v>42675</v>
      </c>
      <c r="D41" s="21"/>
      <c r="E41" s="1">
        <f t="shared" si="7"/>
        <v>22146420.945283204</v>
      </c>
      <c r="F41" s="15">
        <f t="shared" si="8"/>
        <v>110732104.726416</v>
      </c>
      <c r="G41" s="3"/>
      <c r="I41" s="17">
        <f>+I40*1.011</f>
        <v>1242.6504435204706</v>
      </c>
      <c r="J41" s="6">
        <f t="shared" si="6"/>
        <v>1.4764280630188802</v>
      </c>
    </row>
    <row r="42" spans="1:10" ht="12.75">
      <c r="A42" s="3"/>
      <c r="B42" s="28">
        <v>43100</v>
      </c>
      <c r="C42" s="21">
        <v>42705</v>
      </c>
      <c r="D42" s="21"/>
      <c r="E42" s="1">
        <f t="shared" si="7"/>
        <v>22323592.31284547</v>
      </c>
      <c r="F42" s="15">
        <f t="shared" si="8"/>
        <v>111617961.56422734</v>
      </c>
      <c r="G42" s="3"/>
      <c r="I42" s="17">
        <f>+I41*1.008</f>
        <v>1252.5916470686343</v>
      </c>
      <c r="J42" s="6">
        <f aca="true" t="shared" si="9" ref="J42:J48">+I42/$J$3</f>
        <v>1.4882394875230311</v>
      </c>
    </row>
    <row r="43" spans="1:10" ht="12.75">
      <c r="A43" s="3"/>
      <c r="B43" s="28">
        <v>43131</v>
      </c>
      <c r="C43" s="21">
        <v>42736</v>
      </c>
      <c r="D43" s="21"/>
      <c r="E43" s="1">
        <f aca="true" t="shared" si="10" ref="E43:E48">15000000*J43</f>
        <v>22658446.19753815</v>
      </c>
      <c r="F43" s="15">
        <f aca="true" t="shared" si="11" ref="F43:F48">75000000*J43</f>
        <v>113292230.98769073</v>
      </c>
      <c r="G43" s="3"/>
      <c r="I43" s="17">
        <f>+I42*1.015</f>
        <v>1271.3805217746637</v>
      </c>
      <c r="J43" s="6">
        <f t="shared" si="9"/>
        <v>1.5105630798358765</v>
      </c>
    </row>
    <row r="44" spans="1:10" ht="12.75">
      <c r="A44" s="3"/>
      <c r="B44" s="28">
        <v>43159</v>
      </c>
      <c r="C44" s="21">
        <v>42767</v>
      </c>
      <c r="D44" s="21"/>
      <c r="E44" s="1">
        <f t="shared" si="10"/>
        <v>23043639.78289629</v>
      </c>
      <c r="F44" s="15">
        <f t="shared" si="11"/>
        <v>115218198.91448146</v>
      </c>
      <c r="G44" s="3"/>
      <c r="I44" s="17">
        <f>+I43*1.017</f>
        <v>1292.9939906448328</v>
      </c>
      <c r="J44" s="6">
        <f t="shared" si="9"/>
        <v>1.536242652193086</v>
      </c>
    </row>
    <row r="45" spans="1:10" ht="12.75">
      <c r="A45" s="3"/>
      <c r="B45" s="28">
        <v>43190</v>
      </c>
      <c r="C45" s="21">
        <v>42795</v>
      </c>
      <c r="D45" s="21"/>
      <c r="E45" s="1">
        <f t="shared" si="10"/>
        <v>23251032.54094236</v>
      </c>
      <c r="F45" s="15">
        <f t="shared" si="11"/>
        <v>116255162.7047118</v>
      </c>
      <c r="G45" s="3"/>
      <c r="I45" s="17">
        <f>+I44*1.009</f>
        <v>1304.6309365606362</v>
      </c>
      <c r="J45" s="6">
        <f t="shared" si="9"/>
        <v>1.5500688360628239</v>
      </c>
    </row>
    <row r="46" spans="1:10" ht="12.75">
      <c r="A46" s="3"/>
      <c r="B46" s="28">
        <v>43220</v>
      </c>
      <c r="C46" s="21">
        <v>42826</v>
      </c>
      <c r="D46" s="21"/>
      <c r="E46" s="1">
        <f t="shared" si="10"/>
        <v>23367287.703647066</v>
      </c>
      <c r="F46" s="15">
        <f t="shared" si="11"/>
        <v>116836438.51823534</v>
      </c>
      <c r="G46" s="3"/>
      <c r="I46" s="17">
        <f>+I45*1.005</f>
        <v>1311.1540912434393</v>
      </c>
      <c r="J46" s="6">
        <f t="shared" si="9"/>
        <v>1.5578191802431378</v>
      </c>
    </row>
    <row r="47" spans="1:10" ht="12.75">
      <c r="A47" s="3"/>
      <c r="B47" s="28">
        <v>43251</v>
      </c>
      <c r="C47" s="21">
        <v>42856</v>
      </c>
      <c r="D47" s="21"/>
      <c r="E47" s="1">
        <f t="shared" si="10"/>
        <v>23577593.29297989</v>
      </c>
      <c r="F47" s="15">
        <f t="shared" si="11"/>
        <v>117887966.46489945</v>
      </c>
      <c r="G47" s="3"/>
      <c r="I47" s="17">
        <f>+I46*1.009</f>
        <v>1322.9544780646302</v>
      </c>
      <c r="J47" s="6">
        <f t="shared" si="9"/>
        <v>1.571839552865326</v>
      </c>
    </row>
    <row r="48" spans="1:10" ht="12.75">
      <c r="A48" s="3"/>
      <c r="B48" s="28">
        <v>43281</v>
      </c>
      <c r="C48" s="21">
        <v>42887</v>
      </c>
      <c r="D48" s="21"/>
      <c r="E48" s="1">
        <f t="shared" si="10"/>
        <v>24025567.5655465</v>
      </c>
      <c r="F48" s="15">
        <f t="shared" si="11"/>
        <v>120127837.82773252</v>
      </c>
      <c r="G48" s="3"/>
      <c r="I48" s="17">
        <f>+I47*1.019</f>
        <v>1348.090613147858</v>
      </c>
      <c r="J48" s="6">
        <f t="shared" si="9"/>
        <v>1.6017045043697669</v>
      </c>
    </row>
    <row r="49" spans="1:10" ht="12.75">
      <c r="A49" s="3"/>
      <c r="B49" s="28">
        <v>43312</v>
      </c>
      <c r="C49" s="21">
        <v>42917</v>
      </c>
      <c r="D49" s="21"/>
      <c r="E49" s="1">
        <f aca="true" t="shared" si="12" ref="E49:E54">15000000*J49</f>
        <v>24650232.322250713</v>
      </c>
      <c r="F49" s="15">
        <f aca="true" t="shared" si="13" ref="F49:F54">75000000*J49</f>
        <v>123251161.61125357</v>
      </c>
      <c r="G49" s="3"/>
      <c r="I49" s="17">
        <f>+I48*1.026</f>
        <v>1383.1409690897024</v>
      </c>
      <c r="J49" s="6">
        <f aca="true" t="shared" si="14" ref="J49:J57">+I49/$J$3</f>
        <v>1.643348821483381</v>
      </c>
    </row>
    <row r="50" spans="1:10" ht="12.75">
      <c r="A50" s="3"/>
      <c r="B50" s="28">
        <v>43343</v>
      </c>
      <c r="C50" s="21">
        <v>42948</v>
      </c>
      <c r="D50" s="21"/>
      <c r="E50" s="1">
        <f t="shared" si="12"/>
        <v>25118586.736373477</v>
      </c>
      <c r="F50" s="15">
        <f t="shared" si="13"/>
        <v>125592933.68186738</v>
      </c>
      <c r="G50" s="3"/>
      <c r="I50" s="17">
        <f>+I49*1.019</f>
        <v>1409.4206475024066</v>
      </c>
      <c r="J50" s="6">
        <f t="shared" si="14"/>
        <v>1.674572449091565</v>
      </c>
    </row>
    <row r="51" spans="1:10" ht="12.75">
      <c r="A51" s="3"/>
      <c r="B51" s="28">
        <v>43373</v>
      </c>
      <c r="C51" s="21">
        <v>42979</v>
      </c>
      <c r="D51" s="21"/>
      <c r="E51" s="1">
        <f t="shared" si="12"/>
        <v>25369772.60373721</v>
      </c>
      <c r="F51" s="15">
        <f t="shared" si="13"/>
        <v>126848863.01868606</v>
      </c>
      <c r="G51" s="3"/>
      <c r="I51" s="17">
        <f>+I50*1.01</f>
        <v>1423.5148539774307</v>
      </c>
      <c r="J51" s="6">
        <f t="shared" si="14"/>
        <v>1.6913181735824807</v>
      </c>
    </row>
    <row r="52" spans="1:10" ht="12.75">
      <c r="A52" s="3"/>
      <c r="B52" s="28">
        <v>43404</v>
      </c>
      <c r="C52" s="21">
        <v>43009</v>
      </c>
      <c r="D52" s="21"/>
      <c r="E52" s="1">
        <f t="shared" si="12"/>
        <v>25750319.19279327</v>
      </c>
      <c r="F52" s="15">
        <f t="shared" si="13"/>
        <v>128751595.96396634</v>
      </c>
      <c r="G52" s="3"/>
      <c r="I52" s="17">
        <f>+I51*1.015</f>
        <v>1444.867576787092</v>
      </c>
      <c r="J52" s="6">
        <f t="shared" si="14"/>
        <v>1.716687946186218</v>
      </c>
    </row>
    <row r="53" spans="1:10" ht="12.75">
      <c r="A53" s="3"/>
      <c r="B53" s="28">
        <v>43434</v>
      </c>
      <c r="C53" s="21">
        <v>43040</v>
      </c>
      <c r="D53" s="21"/>
      <c r="E53" s="1">
        <f t="shared" si="12"/>
        <v>26136573.980685163</v>
      </c>
      <c r="F53" s="15">
        <f t="shared" si="13"/>
        <v>130682869.90342581</v>
      </c>
      <c r="G53" s="3"/>
      <c r="I53" s="17">
        <f>+I52*1.015</f>
        <v>1466.5405904388983</v>
      </c>
      <c r="J53" s="6">
        <f t="shared" si="14"/>
        <v>1.742438265379011</v>
      </c>
    </row>
    <row r="54" spans="1:10" ht="12.75">
      <c r="A54" s="3"/>
      <c r="B54" s="28">
        <v>43465</v>
      </c>
      <c r="C54" s="21">
        <v>43070</v>
      </c>
      <c r="D54" s="21"/>
      <c r="E54" s="1">
        <f t="shared" si="12"/>
        <v>26554759.164376125</v>
      </c>
      <c r="F54" s="15">
        <f t="shared" si="13"/>
        <v>132773795.82188062</v>
      </c>
      <c r="G54" s="3"/>
      <c r="I54" s="17">
        <f>+I53*1.016</f>
        <v>1490.0052398859207</v>
      </c>
      <c r="J54" s="6">
        <f t="shared" si="14"/>
        <v>1.770317277625075</v>
      </c>
    </row>
    <row r="55" spans="1:10" ht="12.75">
      <c r="A55" s="3"/>
      <c r="B55" s="28">
        <v>43496</v>
      </c>
      <c r="C55" s="21">
        <v>43101</v>
      </c>
      <c r="D55" s="21"/>
      <c r="E55" s="1">
        <f aca="true" t="shared" si="15" ref="E55:E61">15000000*J55</f>
        <v>27776278.08593743</v>
      </c>
      <c r="F55" s="15">
        <f aca="true" t="shared" si="16" ref="F55:F61">75000000*J55</f>
        <v>138881390.42968714</v>
      </c>
      <c r="G55" s="3"/>
      <c r="I55" s="17">
        <f>+I54*1.046</f>
        <v>1558.545480920673</v>
      </c>
      <c r="J55" s="6">
        <f t="shared" si="14"/>
        <v>1.8517518723958286</v>
      </c>
    </row>
    <row r="56" spans="1:10" ht="12.75">
      <c r="A56" s="3"/>
      <c r="B56" s="28">
        <v>43524</v>
      </c>
      <c r="C56" s="21">
        <v>43132</v>
      </c>
      <c r="D56" s="21"/>
      <c r="E56" s="1">
        <f t="shared" si="15"/>
        <v>29109539.43406243</v>
      </c>
      <c r="F56" s="15">
        <f t="shared" si="16"/>
        <v>145547697.17031214</v>
      </c>
      <c r="G56" s="3"/>
      <c r="I56" s="17">
        <f>+I55*1.048</f>
        <v>1633.3556640048655</v>
      </c>
      <c r="J56" s="6">
        <f t="shared" si="14"/>
        <v>1.9406359622708285</v>
      </c>
    </row>
    <row r="57" spans="1:10" ht="12.75">
      <c r="A57" s="3"/>
      <c r="B57" s="28">
        <v>43555</v>
      </c>
      <c r="C57" s="21">
        <v>43160</v>
      </c>
      <c r="D57" s="21"/>
      <c r="E57" s="1">
        <f t="shared" si="15"/>
        <v>29662620.683309615</v>
      </c>
      <c r="F57" s="15">
        <f t="shared" si="16"/>
        <v>148313103.41654807</v>
      </c>
      <c r="G57" s="3"/>
      <c r="I57" s="17">
        <f>+I56*1.019</f>
        <v>1664.3894216209578</v>
      </c>
      <c r="J57" s="6">
        <f t="shared" si="14"/>
        <v>1.9775080455539742</v>
      </c>
    </row>
    <row r="58" spans="1:10" ht="12.75">
      <c r="A58" s="3"/>
      <c r="B58" s="28">
        <v>43585</v>
      </c>
      <c r="C58" s="21">
        <v>43191</v>
      </c>
      <c r="D58" s="21"/>
      <c r="E58" s="1">
        <f t="shared" si="15"/>
        <v>30196547.855609182</v>
      </c>
      <c r="F58" s="15">
        <f t="shared" si="16"/>
        <v>150982739.27804592</v>
      </c>
      <c r="G58" s="3"/>
      <c r="I58" s="17">
        <f>+I57*1.018</f>
        <v>1694.348431210135</v>
      </c>
      <c r="J58" s="6">
        <f aca="true" t="shared" si="17" ref="J58:J63">+I58/$J$3</f>
        <v>2.0131031903739456</v>
      </c>
    </row>
    <row r="59" spans="1:10" ht="12.75">
      <c r="A59" s="3"/>
      <c r="B59" s="28">
        <v>43616</v>
      </c>
      <c r="C59" s="21">
        <v>43221</v>
      </c>
      <c r="D59" s="21"/>
      <c r="E59" s="1">
        <f t="shared" si="15"/>
        <v>32461288.944779873</v>
      </c>
      <c r="F59" s="15">
        <f t="shared" si="16"/>
        <v>162306444.72389936</v>
      </c>
      <c r="G59" s="3"/>
      <c r="I59" s="17">
        <f>+I58*1.075</f>
        <v>1821.424563550895</v>
      </c>
      <c r="J59" s="6">
        <f t="shared" si="17"/>
        <v>2.1640859296519914</v>
      </c>
    </row>
    <row r="60" spans="1:10" ht="12.75">
      <c r="A60" s="3"/>
      <c r="B60" s="28">
        <v>43646</v>
      </c>
      <c r="C60" s="21">
        <v>43252</v>
      </c>
      <c r="D60" s="21"/>
      <c r="E60" s="1">
        <f t="shared" si="15"/>
        <v>34571272.72619056</v>
      </c>
      <c r="F60" s="15">
        <f t="shared" si="16"/>
        <v>172856363.6309528</v>
      </c>
      <c r="G60" s="3"/>
      <c r="I60" s="17">
        <f>+I59*1.065</f>
        <v>1939.8171601817032</v>
      </c>
      <c r="J60" s="6">
        <f t="shared" si="17"/>
        <v>2.3047515150793707</v>
      </c>
    </row>
    <row r="61" spans="1:10" ht="12.75">
      <c r="A61" s="3"/>
      <c r="B61" s="28">
        <v>43677</v>
      </c>
      <c r="C61" s="21">
        <v>43282</v>
      </c>
      <c r="D61" s="21"/>
      <c r="E61" s="1">
        <f t="shared" si="15"/>
        <v>36196122.544321515</v>
      </c>
      <c r="F61" s="15">
        <f t="shared" si="16"/>
        <v>180980612.72160757</v>
      </c>
      <c r="G61" s="3"/>
      <c r="I61" s="17">
        <f>+I60*1.047</f>
        <v>2030.988566710243</v>
      </c>
      <c r="J61" s="6">
        <f t="shared" si="17"/>
        <v>2.413074836288101</v>
      </c>
    </row>
    <row r="62" spans="1:10" ht="12.75">
      <c r="A62" s="3"/>
      <c r="B62" s="28">
        <v>43708</v>
      </c>
      <c r="C62" s="21">
        <v>43313</v>
      </c>
      <c r="D62" s="21"/>
      <c r="E62" s="1">
        <f>15000000*J62</f>
        <v>37969732.54899327</v>
      </c>
      <c r="F62" s="15">
        <f>75000000*J62</f>
        <v>189848662.74496633</v>
      </c>
      <c r="G62" s="3"/>
      <c r="I62" s="17">
        <f>+I61*1.049</f>
        <v>2130.507006479045</v>
      </c>
      <c r="J62" s="6">
        <f t="shared" si="17"/>
        <v>2.531315503266218</v>
      </c>
    </row>
    <row r="63" spans="1:10" ht="12.75">
      <c r="A63" s="3"/>
      <c r="B63" s="28">
        <v>43738</v>
      </c>
      <c r="C63" s="21">
        <v>43344</v>
      </c>
      <c r="D63" s="21"/>
      <c r="E63" s="1">
        <f>15000000*J63</f>
        <v>44044889.75683219</v>
      </c>
      <c r="F63" s="15">
        <f>75000000*J63</f>
        <v>220224448.78416094</v>
      </c>
      <c r="G63" s="3"/>
      <c r="I63" s="17">
        <f>+I62*1.16</f>
        <v>2471.388127515692</v>
      </c>
      <c r="J63" s="6">
        <f t="shared" si="17"/>
        <v>2.9363259837888127</v>
      </c>
    </row>
    <row r="64" spans="1:10" ht="12.75">
      <c r="A64" s="3"/>
      <c r="B64" s="28">
        <v>43769</v>
      </c>
      <c r="C64" s="21">
        <v>43374</v>
      </c>
      <c r="D64" s="21"/>
      <c r="E64" s="1">
        <f>15000000*J64</f>
        <v>45366236.44953716</v>
      </c>
      <c r="F64" s="15">
        <f>75000000*J64</f>
        <v>226831182.2476858</v>
      </c>
      <c r="G64" s="3"/>
      <c r="I64" s="17">
        <f>+I63*1.03</f>
        <v>2545.529771341163</v>
      </c>
      <c r="J64" s="6">
        <f>+I64/$J$3</f>
        <v>3.024415763302477</v>
      </c>
    </row>
    <row r="65" spans="1:10" ht="12.75">
      <c r="A65" s="3"/>
      <c r="B65" s="28">
        <v>43799</v>
      </c>
      <c r="C65" s="21">
        <v>43405</v>
      </c>
      <c r="D65" s="21"/>
      <c r="E65" s="1">
        <f>15000000*J65</f>
        <v>45411602.68598669</v>
      </c>
      <c r="F65" s="15">
        <f>75000000*J65</f>
        <v>227058013.42993346</v>
      </c>
      <c r="G65" s="3"/>
      <c r="I65" s="17">
        <f>+I64*1.001</f>
        <v>2548.075301112504</v>
      </c>
      <c r="J65" s="6">
        <f>+I65/$J$3</f>
        <v>3.0274401790657794</v>
      </c>
    </row>
    <row r="66" spans="1:9" ht="12.75">
      <c r="A66" s="3"/>
      <c r="B66" s="28">
        <v>43830</v>
      </c>
      <c r="C66" s="21">
        <v>43435</v>
      </c>
      <c r="D66" s="21"/>
      <c r="E66" s="1">
        <f>+E65</f>
        <v>45411602.68598669</v>
      </c>
      <c r="F66" s="15">
        <f>+F65</f>
        <v>227058013.42993346</v>
      </c>
      <c r="G66" s="3"/>
      <c r="I66" s="17"/>
    </row>
    <row r="67" spans="1:9" ht="12.75">
      <c r="A67" s="3"/>
      <c r="B67" s="28">
        <v>43861</v>
      </c>
      <c r="C67" s="21">
        <v>43466</v>
      </c>
      <c r="D67" s="21"/>
      <c r="E67" s="1">
        <f>+E66</f>
        <v>45411602.68598669</v>
      </c>
      <c r="F67" s="15">
        <f>+F66</f>
        <v>227058013.42993346</v>
      </c>
      <c r="G67" s="3"/>
      <c r="I67" s="17"/>
    </row>
    <row r="68" spans="1:9" ht="12.75">
      <c r="A68" s="3"/>
      <c r="B68" s="28">
        <v>43890</v>
      </c>
      <c r="C68" s="21">
        <v>43497</v>
      </c>
      <c r="D68" s="21"/>
      <c r="E68" s="1">
        <v>46547359</v>
      </c>
      <c r="F68" s="15">
        <v>232736794</v>
      </c>
      <c r="G68" s="3"/>
      <c r="I68" s="18">
        <v>196.7501</v>
      </c>
    </row>
    <row r="69" spans="1:15" ht="12.75">
      <c r="A69" s="3"/>
      <c r="B69" s="28">
        <v>43921</v>
      </c>
      <c r="C69" s="21">
        <v>43525</v>
      </c>
      <c r="D69" s="21"/>
      <c r="E69" s="1">
        <v>48725561</v>
      </c>
      <c r="F69" s="15">
        <v>243627806</v>
      </c>
      <c r="G69" s="3"/>
      <c r="I69" s="18">
        <v>205.9571</v>
      </c>
      <c r="L69" s="19">
        <f aca="true" t="shared" si="18" ref="L69:L74">+I69/I68*E68</f>
        <v>48725561.37099244</v>
      </c>
      <c r="M69" s="19">
        <f aca="true" t="shared" si="19" ref="M69:M74">+I69/I68*F68</f>
        <v>243627805.80816677</v>
      </c>
      <c r="N69" s="19">
        <f aca="true" t="shared" si="20" ref="N69:O74">+E69-L69</f>
        <v>-0.37099243700504303</v>
      </c>
      <c r="O69" s="19">
        <f t="shared" si="20"/>
        <v>0.1918332278728485</v>
      </c>
    </row>
    <row r="70" spans="1:15" ht="12.75">
      <c r="A70" s="3"/>
      <c r="B70" s="28">
        <v>43951</v>
      </c>
      <c r="C70" s="21">
        <v>43556</v>
      </c>
      <c r="D70" s="21"/>
      <c r="E70" s="1">
        <v>50404010</v>
      </c>
      <c r="F70" s="15">
        <v>252020048</v>
      </c>
      <c r="G70" s="3"/>
      <c r="I70" s="18">
        <v>213.0517</v>
      </c>
      <c r="L70" s="19">
        <f t="shared" si="18"/>
        <v>50404009.400519334</v>
      </c>
      <c r="M70" s="19">
        <f t="shared" si="19"/>
        <v>252020048.03704366</v>
      </c>
      <c r="N70" s="19">
        <f t="shared" si="20"/>
        <v>0.5994806662201881</v>
      </c>
      <c r="O70" s="19">
        <f t="shared" si="20"/>
        <v>-0.03704366087913513</v>
      </c>
    </row>
    <row r="71" spans="1:15" ht="12.75">
      <c r="A71" s="3"/>
      <c r="B71" s="28">
        <v>43982</v>
      </c>
      <c r="C71" s="21">
        <v>43586</v>
      </c>
      <c r="D71" s="21"/>
      <c r="E71" s="1">
        <v>51945903</v>
      </c>
      <c r="F71" s="15">
        <v>259729517</v>
      </c>
      <c r="G71" s="3"/>
      <c r="I71" s="18">
        <v>219.5691</v>
      </c>
      <c r="L71" s="19">
        <f t="shared" si="18"/>
        <v>51945903.797486715</v>
      </c>
      <c r="M71" s="19">
        <f t="shared" si="19"/>
        <v>259729516.9262522</v>
      </c>
      <c r="N71" s="19">
        <f t="shared" si="20"/>
        <v>-0.7974867150187492</v>
      </c>
      <c r="O71" s="19">
        <f t="shared" si="20"/>
        <v>0.07374781370162964</v>
      </c>
    </row>
    <row r="72" spans="1:15" ht="12.75">
      <c r="A72" s="3"/>
      <c r="B72" s="28">
        <v>44012</v>
      </c>
      <c r="C72" s="21">
        <v>43617</v>
      </c>
      <c r="D72" s="21"/>
      <c r="E72" s="1">
        <v>53357796</v>
      </c>
      <c r="F72" s="15">
        <v>266788979</v>
      </c>
      <c r="G72" s="3"/>
      <c r="I72" s="18">
        <v>225.537</v>
      </c>
      <c r="L72" s="19">
        <f t="shared" si="18"/>
        <v>53357795.449865215</v>
      </c>
      <c r="M72" s="19">
        <f t="shared" si="19"/>
        <v>266788979.3036862</v>
      </c>
      <c r="N72" s="19">
        <f t="shared" si="20"/>
        <v>0.5501347854733467</v>
      </c>
      <c r="O72" s="19">
        <f t="shared" si="20"/>
        <v>-0.3036862015724182</v>
      </c>
    </row>
    <row r="73" spans="1:15" ht="12.75">
      <c r="A73" s="3"/>
      <c r="B73" s="28">
        <v>44043</v>
      </c>
      <c r="C73" s="21">
        <v>43647</v>
      </c>
      <c r="D73" s="21"/>
      <c r="E73" s="1">
        <v>54530528</v>
      </c>
      <c r="F73" s="15">
        <v>272652642</v>
      </c>
      <c r="G73" s="3"/>
      <c r="I73" s="18">
        <v>230.494</v>
      </c>
      <c r="L73" s="19">
        <f t="shared" si="18"/>
        <v>54530528.61048963</v>
      </c>
      <c r="M73" s="19">
        <f t="shared" si="19"/>
        <v>272652642.0304695</v>
      </c>
      <c r="N73" s="19">
        <f t="shared" si="20"/>
        <v>-0.6104896292090416</v>
      </c>
      <c r="O73" s="19">
        <f t="shared" si="20"/>
        <v>-0.03046947717666626</v>
      </c>
    </row>
    <row r="74" spans="1:15" ht="13.5" thickBot="1">
      <c r="A74" s="3"/>
      <c r="B74" s="28">
        <v>44074</v>
      </c>
      <c r="C74" s="26">
        <v>43678</v>
      </c>
      <c r="D74" s="27"/>
      <c r="E74" s="12">
        <v>56686658</v>
      </c>
      <c r="F74" s="16">
        <v>283433289</v>
      </c>
      <c r="G74" s="3"/>
      <c r="I74" s="18">
        <v>239.6077</v>
      </c>
      <c r="L74" s="19">
        <f t="shared" si="18"/>
        <v>56686657.32672261</v>
      </c>
      <c r="M74" s="19">
        <f t="shared" si="19"/>
        <v>283433288.71269274</v>
      </c>
      <c r="N74" s="19">
        <f t="shared" si="20"/>
        <v>0.6732773929834366</v>
      </c>
      <c r="O74" s="19">
        <f t="shared" si="20"/>
        <v>0.2873072624206543</v>
      </c>
    </row>
    <row r="75" spans="1:9" ht="12.75">
      <c r="A75" s="3"/>
      <c r="B75" s="3"/>
      <c r="C75" s="3"/>
      <c r="D75" s="3"/>
      <c r="E75" s="3"/>
      <c r="F75" s="3"/>
      <c r="G75" s="3"/>
      <c r="I75" s="18"/>
    </row>
    <row r="76" spans="1:7" s="29" customFormat="1" ht="30.75" customHeight="1">
      <c r="A76" s="43" t="s">
        <v>6</v>
      </c>
      <c r="B76" s="43"/>
      <c r="C76" s="43"/>
      <c r="D76" s="43"/>
      <c r="E76" s="43"/>
      <c r="F76" s="43"/>
      <c r="G76" s="43"/>
    </row>
    <row r="77" spans="1:7" ht="12.75">
      <c r="A77" s="30"/>
      <c r="B77" s="30"/>
      <c r="C77" s="30"/>
      <c r="D77" s="30"/>
      <c r="E77" s="30"/>
      <c r="F77" s="30"/>
      <c r="G77" s="30"/>
    </row>
    <row r="78" spans="1:7" ht="12.75">
      <c r="A78" s="3"/>
      <c r="B78" s="3"/>
      <c r="C78" s="3"/>
      <c r="D78" s="3"/>
      <c r="E78" s="3"/>
      <c r="F78" s="3"/>
      <c r="G78" s="3"/>
    </row>
  </sheetData>
  <sheetProtection/>
  <mergeCells count="7">
    <mergeCell ref="A77:G77"/>
    <mergeCell ref="C4:D5"/>
    <mergeCell ref="A1:G1"/>
    <mergeCell ref="E4:F4"/>
    <mergeCell ref="F6:F17"/>
    <mergeCell ref="B4:B5"/>
    <mergeCell ref="A76:G76"/>
  </mergeCells>
  <printOptions/>
  <pageMargins left="0.7480314960629921" right="0.7480314960629921" top="0.984251968503937" bottom="0.984251968503937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C.P.C.E.P.B.A.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julian.giacchetta</dc:creator>
  <cp:keywords/>
  <dc:description/>
  <cp:lastModifiedBy>Usuario de Windows</cp:lastModifiedBy>
  <cp:lastPrinted>2019-11-12T19:30:45Z</cp:lastPrinted>
  <dcterms:created xsi:type="dcterms:W3CDTF">2010-05-31T17:35:58Z</dcterms:created>
  <dcterms:modified xsi:type="dcterms:W3CDTF">2019-11-12T19:32:24Z</dcterms:modified>
  <cp:category/>
  <cp:version/>
  <cp:contentType/>
  <cp:contentStatus/>
</cp:coreProperties>
</file>